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ROL" sheetId="2" state="visible" r:id="rId4"/>
    <sheet name="CASO ENFERMEDAD" sheetId="3" state="visible" r:id="rId5"/>
    <sheet name="CASO MATERNIDA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<sst xmlns="http://schemas.openxmlformats.org/spreadsheetml/2006/main" count="126" uniqueCount="113">
  <si>
    <t xml:space="preserve">PLANTILLA: ROL DE PAGOS CON LICENCIAS Y SUBSIDIOS DEL IESS — ECOIN (www.ecoin.com.ec)</t>
  </si>
  <si>
    <t xml:space="preserve">CÓMO USARLA</t>
  </si>
  <si>
    <t xml:space="preserve">1. Vaya a la hoja ROL y llene ÚNICAMENTE las celdas amarillas (texto azul).</t>
  </si>
  <si>
    <t xml:space="preserve">2. La hoja calcula el rol del mes, los aportes al IESS, el subsidio referencial y las provisiones.</t>
  </si>
  <si>
    <t xml:space="preserve">3. La hoja EJEMPLOS trae dos casos resueltos: Pedro (enfermedad 15 días) y María (maternidad mes completo).</t>
  </si>
  <si>
    <t xml:space="preserve">REGLAS APLICADAS (con base normativa)</t>
  </si>
  <si>
    <t xml:space="preserve">• El rol registra solo lo pagado por el empleador; el subsidio lo paga el IESS directamente al trabajador.</t>
  </si>
  <si>
    <t xml:space="preserve">• Enfermedad: días 1–3 a cargo del empleador (art. 42.19 y 153 del Código del Trabajo; criterio del Oficio 10097</t>
  </si>
  <si>
    <t xml:space="preserve">  de la Procuraduría General del Estado: 100%); días 4–70 subsidio IESS 75%; días 71–182: 66% (art. 106 de la</t>
  </si>
  <si>
    <t xml:space="preserve">  Ley de Seguridad Social y Reglamento de Subsidios del IESS).</t>
  </si>
  <si>
    <t xml:space="preserve">• Maternidad: 12 semanas; IESS 75% + empleador 25% (art. 152 del Código del Trabajo).</t>
  </si>
  <si>
    <t xml:space="preserve">• REGLA ESPECIAL DE MATERNIDAD (art. 7 del Reglamento de Subsidios del IESS): los aportes del período — personal</t>
  </si>
  <si>
    <t xml:space="preserve">  y patronal — se calculan sobre el 100% de la remuneración y son DE CUENTA DEL EMPLEADOR. A la trabajadora</t>
  </si>
  <si>
    <t xml:space="preserve">  no se le descuenta el aporte personal: recibe su 25% íntegro del empleador y su 75% íntegro del IESS.</t>
  </si>
  <si>
    <t xml:space="preserve">• Décimo tercero, fondos de reserva y vacaciones: sobre lo efectivamente pagado por el empleador.</t>
  </si>
  <si>
    <t xml:space="preserve">• Décimo cuarto: por tiempo de servicio (la licencia no lo reduce) — SBU 2026: USD 482.</t>
  </si>
  <si>
    <t xml:space="preserve">• Completar la diferencia del subsidio de enfermedad es un beneficio VOLUNTARIO, no una obligación legal.</t>
  </si>
  <si>
    <t xml:space="preserve">PARÁMETROS 2026 (editables en la hoja ROL)</t>
  </si>
  <si>
    <t xml:space="preserve">Aporte personal 9,45% · Aporte patronal 12,15% (11,15% + 1% IECE-SECAP) · SBU USD 482 · Subsidio 75%.</t>
  </si>
  <si>
    <t xml:space="preserve">Esta plantilla es referencial y educativa. Valide casos particulares con su contador. © ECOIN</t>
  </si>
  <si>
    <t xml:space="preserve">ROL DE PAGOS DEL MES CON LICENCIA — CALCULADORA</t>
  </si>
  <si>
    <t xml:space="preserve">DATOS DEL TRABAJADOR Y DEL MES (llene las celdas amarillas)</t>
  </si>
  <si>
    <t xml:space="preserve">Nombre del trabajador</t>
  </si>
  <si>
    <t xml:space="preserve">Juan Pérez</t>
  </si>
  <si>
    <t xml:space="preserve">Sueldo mensual (USD)</t>
  </si>
  <si>
    <t xml:space="preserve">Días trabajados en el mes</t>
  </si>
  <si>
    <t xml:space="preserve">Mes comercial de 30 días</t>
  </si>
  <si>
    <t xml:space="preserve">Días de licencia pagados por el empleador</t>
  </si>
  <si>
    <t xml:space="preserve">Enfermedad: días 1–3 · Maternidad: todo el mes · Paternidad: 15 días</t>
  </si>
  <si>
    <t xml:space="preserve">% que paga el empleador en esos días</t>
  </si>
  <si>
    <t xml:space="preserve">Enfermedad: 100% (criterio PGE) · Maternidad: 25% · Paternidad: 100%</t>
  </si>
  <si>
    <t xml:space="preserve">Días subsidiados por el IESS</t>
  </si>
  <si>
    <t xml:space="preserve">Enfermedad: desde el día 4 · Maternidad: todo el período</t>
  </si>
  <si>
    <t xml:space="preserve">% del subsidio del IESS</t>
  </si>
  <si>
    <t xml:space="preserve">Enfermedad d.4–70 y maternidad: 75% · Enfermedad d.71–182: 66%</t>
  </si>
  <si>
    <t xml:space="preserve">¿Es licencia de MATERNIDAD? (SI/NO)</t>
  </si>
  <si>
    <t xml:space="preserve">NO</t>
  </si>
  <si>
    <t xml:space="preserve">Si es SI: aportes sobre el 100% del sueldo, de cuenta del empleador (art. 7 Regl. Subsidios)</t>
  </si>
  <si>
    <t xml:space="preserve">PARÁMETROS 2026</t>
  </si>
  <si>
    <t xml:space="preserve">Aporte personal IESS</t>
  </si>
  <si>
    <t xml:space="preserve">Aporte patronal IESS (incl. IECE-SECAP)</t>
  </si>
  <si>
    <t xml:space="preserve">Salario básico unificado (SBU)</t>
  </si>
  <si>
    <t xml:space="preserve">ROL DE PAGOS (lo que paga la empresa)</t>
  </si>
  <si>
    <t xml:space="preserve">Valor día</t>
  </si>
  <si>
    <t xml:space="preserve">Ingreso por días trabajados</t>
  </si>
  <si>
    <t xml:space="preserve">Ingreso por licencia pagada por el empleador</t>
  </si>
  <si>
    <t xml:space="preserve">TOTAL INGRESOS DEL ROL</t>
  </si>
  <si>
    <t xml:space="preserve">(−) Aporte personal descontado al trabajador</t>
  </si>
  <si>
    <t xml:space="preserve">En maternidad NO se descuenta: lo asume el empleador</t>
  </si>
  <si>
    <t xml:space="preserve">NETO A PAGAR POR LA EMPRESA</t>
  </si>
  <si>
    <t xml:space="preserve">FUERA DEL ROL (informativo)</t>
  </si>
  <si>
    <t xml:space="preserve">Subsidio referencial del IESS (paga el IESS al trabajador)</t>
  </si>
  <si>
    <t xml:space="preserve">Base legal: promedio de las 3 últimas remuneraciones; aquí se usa el sueldo como referencia</t>
  </si>
  <si>
    <t xml:space="preserve">TOTAL QUE RECIBE EL TRABAJADOR EN EL MES</t>
  </si>
  <si>
    <t xml:space="preserve">APORTES Y PROVISIONES DEL EMPLEADOR EN EL MES</t>
  </si>
  <si>
    <t xml:space="preserve">Aporte patronal IESS</t>
  </si>
  <si>
    <t xml:space="preserve">Maternidad: sobre el 100% del sueldo (art. 7 Regl. Subsidios)</t>
  </si>
  <si>
    <t xml:space="preserve">Aporte personal asumido por el empleador (solo maternidad)</t>
  </si>
  <si>
    <t xml:space="preserve">Norma expresa: los aportes del período son de cuenta del patrono</t>
  </si>
  <si>
    <t xml:space="preserve">Décimo tercero (lo pagado ÷ 12)</t>
  </si>
  <si>
    <t xml:space="preserve">Décimo cuarto (SBU ÷ 12, por tiempo de servicio)</t>
  </si>
  <si>
    <t xml:space="preserve">Fondos de reserva (lo pagado ÷ 12)</t>
  </si>
  <si>
    <t xml:space="preserve">Aplica desde el 2.º año de servicio; base = lo pagado (criterio ECOIN)</t>
  </si>
  <si>
    <t xml:space="preserve">Vacaciones (lo pagado ÷ 24)</t>
  </si>
  <si>
    <t xml:space="preserve">CASO REAL: AVISO DE ENFERMEDAD QUE CRUZA DOS MESES (todo automatizado por fechas)</t>
  </si>
  <si>
    <t xml:space="preserve">DATOS (celdas amarillas)</t>
  </si>
  <si>
    <t xml:space="preserve">Trabajador</t>
  </si>
  <si>
    <t xml:space="preserve">Pedro</t>
  </si>
  <si>
    <t xml:space="preserve">Sueldo mensual</t>
  </si>
  <si>
    <t xml:space="preserve">Fecha de inicio del reposo (aviso)</t>
  </si>
  <si>
    <t xml:space="preserve">Días de reposo del certificado</t>
  </si>
  <si>
    <t xml:space="preserve">Máx. sugerido en esta hoja: hasta 44 (dos meses)</t>
  </si>
  <si>
    <t xml:space="preserve">% que paga el empleador los días 1–3</t>
  </si>
  <si>
    <t xml:space="preserve">100% criterio PGE (Oficio 10097)</t>
  </si>
  <si>
    <t xml:space="preserve">75% hasta el día 70; 66% del 71 al 182</t>
  </si>
  <si>
    <t xml:space="preserve">LIQUIDACIÓN AUTOMÁTICA POR MES</t>
  </si>
  <si>
    <t xml:space="preserve">MES DEL AVISO</t>
  </si>
  <si>
    <t xml:space="preserve">MES SIGUIENTE</t>
  </si>
  <si>
    <t xml:space="preserve">Días de reposo en el mes</t>
  </si>
  <si>
    <t xml:space="preserve">Días pagados por el empleador (1–3)</t>
  </si>
  <si>
    <t xml:space="preserve">Días trabajados</t>
  </si>
  <si>
    <t xml:space="preserve">Ingresos del rol (trabajados + días 1–3)</t>
  </si>
  <si>
    <t xml:space="preserve">(−) Aporte personal descontado</t>
  </si>
  <si>
    <t xml:space="preserve">NETO que paga la empresa</t>
  </si>
  <si>
    <t xml:space="preserve">Subsidio IESS (fuera del rol)</t>
  </si>
  <si>
    <t xml:space="preserve">TOTAL que recibe el trabajador</t>
  </si>
  <si>
    <t xml:space="preserve">Aporte patronal del mes</t>
  </si>
  <si>
    <t xml:space="preserve">Control: días subsidiados totales =C19+D19; subsidio total =C24+D24. Deben cuadrar con el aviso del IESS.</t>
  </si>
  <si>
    <t xml:space="preserve">Días subsidiados / Subsidio total</t>
  </si>
  <si>
    <t xml:space="preserve">CASO REAL: MATERNIDAD DE 12 SEMANAS A TRAVÉS DE 4 MESES (todo automatizado por fechas)</t>
  </si>
  <si>
    <t xml:space="preserve">Trabajadora</t>
  </si>
  <si>
    <t xml:space="preserve">María</t>
  </si>
  <si>
    <t xml:space="preserve">Fecha de inicio de la licencia</t>
  </si>
  <si>
    <t xml:space="preserve">Duración de la licencia (días)</t>
  </si>
  <si>
    <t xml:space="preserve">12 semanas = 84 días (en transición a 14 semanas = 98)</t>
  </si>
  <si>
    <t xml:space="preserve">% a cargo del empleador</t>
  </si>
  <si>
    <t xml:space="preserve">LIQUIDACIÓN AUTOMÁTICA POR MES (convención comercial de 30 días)</t>
  </si>
  <si>
    <t xml:space="preserve">MES 1</t>
  </si>
  <si>
    <t xml:space="preserve">MES 2</t>
  </si>
  <si>
    <t xml:space="preserve">MES 3</t>
  </si>
  <si>
    <t xml:space="preserve">MES 4</t>
  </si>
  <si>
    <t xml:space="preserve">TOTAL</t>
  </si>
  <si>
    <t xml:space="preserve">Días de licencia en el mes</t>
  </si>
  <si>
    <t xml:space="preserve">Días trabajados (30 − licencia)</t>
  </si>
  <si>
    <t xml:space="preserve">Pago por días trabajados (100%)</t>
  </si>
  <si>
    <t xml:space="preserve">Pago por licencia (25% empleador)</t>
  </si>
  <si>
    <t xml:space="preserve">(−) Descuento a la trabajadora (solo días trabajados)</t>
  </si>
  <si>
    <t xml:space="preserve">Subsidio IESS 75% (fuera del rol)</t>
  </si>
  <si>
    <t xml:space="preserve">TOTAL que recibe la trabajadora</t>
  </si>
  <si>
    <t xml:space="preserve">Aporte personal ASUMIDO por el empleador (días de licencia)</t>
  </si>
  <si>
    <t xml:space="preserve">Aporte patronal (sobre trabajado + 100% licencia)</t>
  </si>
  <si>
    <t xml:space="preserve">Regla aplicada: art. 7 del Reglamento de Subsidios del IESS — en maternidad los aportes del período son de</t>
  </si>
  <si>
    <t xml:space="preserve">cuenta del empleador; a la trabajadora solo se le descuenta el 9,45% de sus días efectivamente trabajados.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</si>
</sst>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.00"/>
    <numFmt numFmtId="166" formatCode="0.00%"/>
    <numFmt numFmtId="167" formatCode="\$#,##0.00"/>
    <numFmt numFmtId="168" formatCode="dd/mm/yyyy"/>
    <numFmt numFmtId="169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D2C49"/>
      <name val="Arial"/>
      <family val="0"/>
      <charset val="1"/>
    </font>
    <font>
      <b val="true"/>
      <sz val="11"/>
      <color rgb="FF0D2C4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2C49"/>
        <bgColor rgb="FF333333"/>
      </patternFill>
    </fill>
    <fill>
      <patternFill patternType="solid">
        <fgColor rgb="FFE2E8F0"/>
        <bgColor rgb="FFF8F9FA"/>
      </patternFill>
    </fill>
    <fill>
      <patternFill patternType="solid">
        <fgColor rgb="FFFFFF00"/>
        <bgColor rgb="FFFFFF00"/>
      </patternFill>
    </fill>
    <fill>
      <patternFill patternType="solid">
        <fgColor rgb="FFF8F9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8F9FA"/>
      <rgbColor rgb="FFE2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D2C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00"/>
  </cols>
  <sheetData>
    <row r="2" customFormat="false" ht="15.75" hidden="false" customHeight="true" outlineLevel="0" collapsed="false">
      <c r="B2" s="2" t="s">
        <v>0</v>
      </c>
    </row>
    <row r="5" customFormat="false" ht="15" hidden="false" customHeight="true" outlineLevel="0" collapsed="false">
      <c r="B5" s="3" t="s">
        <v>1</v>
      </c>
    </row>
    <row r="6" customFormat="false" ht="15" hidden="false" customHeight="true" outlineLevel="0" collapsed="false">
      <c r="B6" s="4" t="s">
        <v>2</v>
      </c>
    </row>
    <row r="7" customFormat="false" ht="15" hidden="false" customHeight="true" outlineLevel="0" collapsed="false">
      <c r="B7" s="4" t="s">
        <v>3</v>
      </c>
    </row>
    <row r="8" customFormat="false" ht="15" hidden="false" customHeight="true" outlineLevel="0" collapsed="false">
      <c r="B8" s="4" t="s">
        <v>4</v>
      </c>
    </row>
    <row r="10" customFormat="false" ht="15" hidden="false" customHeight="true" outlineLevel="0" collapsed="false">
      <c r="B10" s="3" t="s">
        <v>5</v>
      </c>
    </row>
    <row r="11" customFormat="false" ht="15" hidden="false" customHeight="true" outlineLevel="0" collapsed="false">
      <c r="B11" s="4" t="s">
        <v>6</v>
      </c>
    </row>
    <row r="12" customFormat="false" ht="15" hidden="false" customHeight="true" outlineLevel="0" collapsed="false">
      <c r="B12" s="4" t="s">
        <v>7</v>
      </c>
    </row>
    <row r="13" customFormat="false" ht="15" hidden="false" customHeight="true" outlineLevel="0" collapsed="false">
      <c r="B13" s="4" t="s">
        <v>8</v>
      </c>
    </row>
    <row r="14" customFormat="false" ht="15" hidden="false" customHeight="true" outlineLevel="0" collapsed="false">
      <c r="B14" s="4" t="s">
        <v>9</v>
      </c>
    </row>
    <row r="15" customFormat="false" ht="15" hidden="false" customHeight="true" outlineLevel="0" collapsed="false">
      <c r="B15" s="4" t="s">
        <v>10</v>
      </c>
    </row>
    <row r="16" customFormat="false" ht="15" hidden="false" customHeight="true" outlineLevel="0" collapsed="false">
      <c r="B16" s="5" t="s">
        <v>11</v>
      </c>
    </row>
    <row r="17" customFormat="false" ht="15" hidden="false" customHeight="true" outlineLevel="0" collapsed="false">
      <c r="B17" s="4" t="s">
        <v>12</v>
      </c>
    </row>
    <row r="18" customFormat="false" ht="15" hidden="false" customHeight="true" outlineLevel="0" collapsed="false">
      <c r="B18" s="4" t="s">
        <v>13</v>
      </c>
    </row>
    <row r="19" customFormat="false" ht="15" hidden="false" customHeight="true" outlineLevel="0" collapsed="false">
      <c r="B19" s="4" t="s">
        <v>14</v>
      </c>
    </row>
    <row r="20" customFormat="false" ht="15" hidden="false" customHeight="true" outlineLevel="0" collapsed="false">
      <c r="B20" s="4" t="s">
        <v>15</v>
      </c>
    </row>
    <row r="21" customFormat="false" ht="15" hidden="false" customHeight="true" outlineLevel="0" collapsed="false">
      <c r="B21" s="4" t="s">
        <v>16</v>
      </c>
    </row>
    <row r="23" customFormat="false" ht="15" hidden="false" customHeight="true" outlineLevel="0" collapsed="false">
      <c r="B23" s="3" t="s">
        <v>17</v>
      </c>
    </row>
    <row r="24" customFormat="false" ht="15" hidden="false" customHeight="true" outlineLevel="0" collapsed="false">
      <c r="B24" s="4" t="s">
        <v>18</v>
      </c>
    </row>
    <row r="26" customFormat="false" ht="15" hidden="false" customHeight="true" outlineLevel="0" collapsed="false">
      <c r="B26" s="6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8"/>
    <col collapsed="false" customWidth="true" hidden="false" outlineLevel="0" max="3" min="3" style="1" width="16"/>
    <col collapsed="false" customWidth="true" hidden="false" outlineLevel="0" max="4" min="4" style="1" width="36"/>
  </cols>
  <sheetData>
    <row r="2" customFormat="false" ht="17.25" hidden="false" customHeight="true" outlineLevel="0" collapsed="false">
      <c r="B2" s="7" t="s">
        <v>20</v>
      </c>
      <c r="C2" s="7"/>
      <c r="D2" s="7"/>
    </row>
    <row r="4" customFormat="false" ht="15" hidden="false" customHeight="true" outlineLevel="0" collapsed="false">
      <c r="B4" s="8" t="s">
        <v>21</v>
      </c>
    </row>
    <row r="5" customFormat="false" ht="15" hidden="false" customHeight="true" outlineLevel="0" collapsed="false">
      <c r="B5" s="9" t="s">
        <v>22</v>
      </c>
      <c r="C5" s="10" t="s">
        <v>23</v>
      </c>
    </row>
    <row r="6" customFormat="false" ht="15" hidden="false" customHeight="true" outlineLevel="0" collapsed="false">
      <c r="B6" s="9" t="s">
        <v>24</v>
      </c>
      <c r="C6" s="11" t="n">
        <v>600</v>
      </c>
    </row>
    <row r="7" customFormat="false" ht="15" hidden="false" customHeight="true" outlineLevel="0" collapsed="false">
      <c r="B7" s="9" t="s">
        <v>25</v>
      </c>
      <c r="C7" s="10" t="n">
        <v>15</v>
      </c>
      <c r="D7" s="6" t="s">
        <v>26</v>
      </c>
    </row>
    <row r="8" customFormat="false" ht="15" hidden="false" customHeight="true" outlineLevel="0" collapsed="false">
      <c r="B8" s="9" t="s">
        <v>27</v>
      </c>
      <c r="C8" s="10" t="n">
        <v>3</v>
      </c>
      <c r="D8" s="6" t="s">
        <v>28</v>
      </c>
    </row>
    <row r="9" customFormat="false" ht="15" hidden="false" customHeight="true" outlineLevel="0" collapsed="false">
      <c r="B9" s="9" t="s">
        <v>29</v>
      </c>
      <c r="C9" s="12" t="n">
        <v>1</v>
      </c>
      <c r="D9" s="6" t="s">
        <v>30</v>
      </c>
    </row>
    <row r="10" customFormat="false" ht="15" hidden="false" customHeight="true" outlineLevel="0" collapsed="false">
      <c r="B10" s="9" t="s">
        <v>31</v>
      </c>
      <c r="C10" s="10" t="n">
        <v>12</v>
      </c>
      <c r="D10" s="6" t="s">
        <v>32</v>
      </c>
    </row>
    <row r="11" customFormat="false" ht="15" hidden="false" customHeight="true" outlineLevel="0" collapsed="false">
      <c r="B11" s="9" t="s">
        <v>33</v>
      </c>
      <c r="C11" s="12" t="n">
        <v>0.75</v>
      </c>
      <c r="D11" s="6" t="s">
        <v>34</v>
      </c>
    </row>
    <row r="12" customFormat="false" ht="15" hidden="false" customHeight="true" outlineLevel="0" collapsed="false">
      <c r="B12" s="9" t="s">
        <v>35</v>
      </c>
      <c r="C12" s="10" t="s">
        <v>36</v>
      </c>
      <c r="D12" s="6" t="s">
        <v>37</v>
      </c>
    </row>
    <row r="14" customFormat="false" ht="15" hidden="false" customHeight="true" outlineLevel="0" collapsed="false">
      <c r="B14" s="8" t="s">
        <v>38</v>
      </c>
    </row>
    <row r="15" customFormat="false" ht="15" hidden="false" customHeight="true" outlineLevel="0" collapsed="false">
      <c r="B15" s="9" t="s">
        <v>39</v>
      </c>
      <c r="C15" s="12" t="n">
        <v>0.0945</v>
      </c>
    </row>
    <row r="16" customFormat="false" ht="15" hidden="false" customHeight="true" outlineLevel="0" collapsed="false">
      <c r="B16" s="9" t="s">
        <v>40</v>
      </c>
      <c r="C16" s="12" t="n">
        <v>0.1215</v>
      </c>
    </row>
    <row r="17" customFormat="false" ht="15" hidden="false" customHeight="true" outlineLevel="0" collapsed="false">
      <c r="B17" s="9" t="s">
        <v>41</v>
      </c>
      <c r="C17" s="11" t="n">
        <v>482</v>
      </c>
    </row>
    <row r="19" customFormat="false" ht="15" hidden="false" customHeight="true" outlineLevel="0" collapsed="false">
      <c r="B19" s="8" t="s">
        <v>42</v>
      </c>
    </row>
    <row r="20" customFormat="false" ht="15" hidden="false" customHeight="true" outlineLevel="0" collapsed="false">
      <c r="B20" s="9" t="s">
        <v>43</v>
      </c>
      <c r="C20" s="13" t="n">
        <f aca="false">C6/30</f>
        <v>20</v>
      </c>
    </row>
    <row r="21" customFormat="false" ht="15" hidden="false" customHeight="true" outlineLevel="0" collapsed="false">
      <c r="B21" s="9" t="s">
        <v>44</v>
      </c>
      <c r="C21" s="13" t="n">
        <f aca="false">C20*C7</f>
        <v>300</v>
      </c>
    </row>
    <row r="22" customFormat="false" ht="15" hidden="false" customHeight="true" outlineLevel="0" collapsed="false">
      <c r="B22" s="9" t="s">
        <v>45</v>
      </c>
      <c r="C22" s="13" t="n">
        <f aca="false">C20*C8*C9</f>
        <v>60</v>
      </c>
    </row>
    <row r="23" customFormat="false" ht="15" hidden="false" customHeight="true" outlineLevel="0" collapsed="false">
      <c r="B23" s="14" t="s">
        <v>46</v>
      </c>
      <c r="C23" s="15" t="n">
        <f aca="false">C21+C22</f>
        <v>360</v>
      </c>
    </row>
    <row r="24" customFormat="false" ht="15" hidden="false" customHeight="true" outlineLevel="0" collapsed="false">
      <c r="B24" s="9" t="s">
        <v>47</v>
      </c>
      <c r="C24" s="13" t="n">
        <f aca="false">IF(C12="SI",0,ROUND(C23*C15,2))</f>
        <v>34.02</v>
      </c>
      <c r="D24" s="6" t="s">
        <v>48</v>
      </c>
    </row>
    <row r="25" customFormat="false" ht="15" hidden="false" customHeight="true" outlineLevel="0" collapsed="false">
      <c r="B25" s="14" t="s">
        <v>49</v>
      </c>
      <c r="C25" s="15" t="n">
        <f aca="false">C23-C24</f>
        <v>325.98</v>
      </c>
    </row>
    <row r="27" customFormat="false" ht="15" hidden="false" customHeight="true" outlineLevel="0" collapsed="false">
      <c r="B27" s="8" t="s">
        <v>50</v>
      </c>
    </row>
    <row r="28" customFormat="false" ht="15" hidden="false" customHeight="true" outlineLevel="0" collapsed="false">
      <c r="B28" s="9" t="s">
        <v>51</v>
      </c>
      <c r="C28" s="13" t="n">
        <f aca="false">ROUND(C20*C10*C11,2)</f>
        <v>180</v>
      </c>
      <c r="D28" s="6" t="s">
        <v>52</v>
      </c>
    </row>
    <row r="29" customFormat="false" ht="15" hidden="false" customHeight="true" outlineLevel="0" collapsed="false">
      <c r="B29" s="14" t="s">
        <v>53</v>
      </c>
      <c r="C29" s="15" t="n">
        <f aca="false">C25+C28</f>
        <v>505.98</v>
      </c>
    </row>
    <row r="31" customFormat="false" ht="15" hidden="false" customHeight="true" outlineLevel="0" collapsed="false">
      <c r="B31" s="8" t="s">
        <v>54</v>
      </c>
    </row>
    <row r="32" customFormat="false" ht="15" hidden="false" customHeight="true" outlineLevel="0" collapsed="false">
      <c r="B32" s="9" t="s">
        <v>55</v>
      </c>
      <c r="C32" s="13" t="n">
        <f aca="false">IF(C12="SI",ROUND(C6*C16,2),ROUND(C23*C16,2))</f>
        <v>43.74</v>
      </c>
      <c r="D32" s="6" t="s">
        <v>56</v>
      </c>
    </row>
    <row r="33" customFormat="false" ht="15" hidden="false" customHeight="true" outlineLevel="0" collapsed="false">
      <c r="B33" s="9" t="s">
        <v>57</v>
      </c>
      <c r="C33" s="13" t="n">
        <f aca="false">IF(C12="SI",ROUND(C6*C15,2),0)</f>
        <v>0</v>
      </c>
      <c r="D33" s="6" t="s">
        <v>58</v>
      </c>
    </row>
    <row r="34" customFormat="false" ht="15" hidden="false" customHeight="true" outlineLevel="0" collapsed="false">
      <c r="B34" s="9" t="s">
        <v>59</v>
      </c>
      <c r="C34" s="13" t="n">
        <f aca="false">ROUND(C23/12,2)</f>
        <v>30</v>
      </c>
    </row>
    <row r="35" customFormat="false" ht="15" hidden="false" customHeight="true" outlineLevel="0" collapsed="false">
      <c r="B35" s="9" t="s">
        <v>60</v>
      </c>
      <c r="C35" s="13" t="n">
        <f aca="false">ROUND(C17/12,2)</f>
        <v>40.17</v>
      </c>
    </row>
    <row r="36" customFormat="false" ht="15" hidden="false" customHeight="true" outlineLevel="0" collapsed="false">
      <c r="B36" s="9" t="s">
        <v>61</v>
      </c>
      <c r="C36" s="13" t="n">
        <f aca="false">ROUND(C23/12,2)</f>
        <v>30</v>
      </c>
      <c r="D36" s="6" t="s">
        <v>62</v>
      </c>
    </row>
    <row r="37" customFormat="false" ht="15" hidden="false" customHeight="true" outlineLevel="0" collapsed="false">
      <c r="B37" s="9" t="s">
        <v>63</v>
      </c>
      <c r="C37" s="13" t="n">
        <f aca="false">ROUND(C23/24,2)</f>
        <v>15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8"/>
    <col collapsed="false" customWidth="true" hidden="false" outlineLevel="0" max="4" min="3" style="0" width="17"/>
    <col collapsed="false" customWidth="true" hidden="false" outlineLevel="0" max="5" min="5" style="0" width="40"/>
  </cols>
  <sheetData>
    <row r="2" customFormat="false" ht="17.35" hidden="false" customHeight="false" outlineLevel="0" collapsed="false">
      <c r="B2" s="7" t="s">
        <v>64</v>
      </c>
      <c r="C2" s="7"/>
      <c r="D2" s="7"/>
      <c r="E2" s="7"/>
    </row>
    <row r="4" customFormat="false" ht="15" hidden="false" customHeight="false" outlineLevel="0" collapsed="false">
      <c r="B4" s="16" t="s">
        <v>65</v>
      </c>
    </row>
    <row r="5" customFormat="false" ht="15" hidden="false" customHeight="false" outlineLevel="0" collapsed="false">
      <c r="B5" s="17" t="s">
        <v>66</v>
      </c>
      <c r="C5" s="18" t="s">
        <v>67</v>
      </c>
    </row>
    <row r="6" customFormat="false" ht="15" hidden="false" customHeight="false" outlineLevel="0" collapsed="false">
      <c r="B6" s="17" t="s">
        <v>68</v>
      </c>
      <c r="C6" s="19" t="n">
        <v>600</v>
      </c>
    </row>
    <row r="7" customFormat="false" ht="15" hidden="false" customHeight="false" outlineLevel="0" collapsed="false">
      <c r="B7" s="17" t="s">
        <v>69</v>
      </c>
      <c r="C7" s="20" t="n">
        <v>46220</v>
      </c>
    </row>
    <row r="8" customFormat="false" ht="15" hidden="false" customHeight="false" outlineLevel="0" collapsed="false">
      <c r="B8" s="17" t="s">
        <v>70</v>
      </c>
      <c r="C8" s="18" t="n">
        <v>30</v>
      </c>
      <c r="D8" s="21" t="s">
        <v>71</v>
      </c>
    </row>
    <row r="9" customFormat="false" ht="15" hidden="false" customHeight="false" outlineLevel="0" collapsed="false">
      <c r="B9" s="17" t="s">
        <v>72</v>
      </c>
      <c r="C9" s="22" t="n">
        <v>1</v>
      </c>
      <c r="D9" s="21" t="s">
        <v>73</v>
      </c>
    </row>
    <row r="10" customFormat="false" ht="15" hidden="false" customHeight="false" outlineLevel="0" collapsed="false">
      <c r="B10" s="17" t="s">
        <v>33</v>
      </c>
      <c r="C10" s="22" t="n">
        <v>0.75</v>
      </c>
      <c r="D10" s="21" t="s">
        <v>74</v>
      </c>
    </row>
    <row r="11" customFormat="false" ht="15" hidden="false" customHeight="false" outlineLevel="0" collapsed="false">
      <c r="B11" s="17" t="s">
        <v>39</v>
      </c>
      <c r="C11" s="22" t="n">
        <v>0.0945</v>
      </c>
    </row>
    <row r="12" customFormat="false" ht="15" hidden="false" customHeight="false" outlineLevel="0" collapsed="false">
      <c r="B12" s="17" t="s">
        <v>55</v>
      </c>
      <c r="C12" s="22" t="n">
        <v>0.1215</v>
      </c>
    </row>
    <row r="14" customFormat="false" ht="15" hidden="false" customHeight="false" outlineLevel="0" collapsed="false">
      <c r="B14" s="16" t="s">
        <v>75</v>
      </c>
    </row>
    <row r="15" customFormat="false" ht="15" hidden="false" customHeight="false" outlineLevel="0" collapsed="false">
      <c r="C15" s="23" t="s">
        <v>76</v>
      </c>
      <c r="D15" s="23" t="s">
        <v>77</v>
      </c>
    </row>
    <row r="16" customFormat="false" ht="15" hidden="false" customHeight="false" outlineLevel="0" collapsed="false">
      <c r="B16" s="17" t="s">
        <v>43</v>
      </c>
      <c r="C16" s="24" t="n">
        <f aca="false">$C$6/30</f>
        <v>20</v>
      </c>
      <c r="D16" s="24" t="n">
        <f aca="false">$C$6/30</f>
        <v>20</v>
      </c>
    </row>
    <row r="17" customFormat="false" ht="15" hidden="false" customHeight="false" outlineLevel="0" collapsed="false">
      <c r="B17" s="17" t="s">
        <v>78</v>
      </c>
      <c r="C17" s="25" t="n">
        <f aca="false">MIN($C$8,30-DAY($C$7)+1)</f>
        <v>14</v>
      </c>
      <c r="D17" s="25" t="n">
        <f aca="false">MAX(0,$C$8-C17)</f>
        <v>16</v>
      </c>
    </row>
    <row r="18" customFormat="false" ht="15" hidden="false" customHeight="false" outlineLevel="0" collapsed="false">
      <c r="B18" s="17" t="s">
        <v>79</v>
      </c>
      <c r="C18" s="25" t="n">
        <f aca="false">MIN(3,C17)</f>
        <v>3</v>
      </c>
      <c r="D18" s="25" t="n">
        <f aca="false">MAX(0,3-C17)</f>
        <v>0</v>
      </c>
    </row>
    <row r="19" customFormat="false" ht="15" hidden="false" customHeight="false" outlineLevel="0" collapsed="false">
      <c r="B19" s="17" t="s">
        <v>31</v>
      </c>
      <c r="C19" s="25" t="n">
        <f aca="false">C17-C18</f>
        <v>11</v>
      </c>
      <c r="D19" s="25" t="n">
        <f aca="false">D17-D18</f>
        <v>16</v>
      </c>
    </row>
    <row r="20" customFormat="false" ht="15" hidden="false" customHeight="false" outlineLevel="0" collapsed="false">
      <c r="B20" s="17" t="s">
        <v>80</v>
      </c>
      <c r="C20" s="25" t="n">
        <f aca="false">DAY($C$7)-1</f>
        <v>16</v>
      </c>
      <c r="D20" s="25" t="n">
        <f aca="false">30-D17</f>
        <v>14</v>
      </c>
    </row>
    <row r="21" customFormat="false" ht="15" hidden="false" customHeight="false" outlineLevel="0" collapsed="false">
      <c r="B21" s="17" t="s">
        <v>81</v>
      </c>
      <c r="C21" s="24" t="n">
        <f aca="false">ROUND(C20*C16+C18*C16*$C$9,2)</f>
        <v>380</v>
      </c>
      <c r="D21" s="24" t="n">
        <f aca="false">ROUND(D20*D16+D18*D16*$C$9,2)</f>
        <v>280</v>
      </c>
    </row>
    <row r="22" customFormat="false" ht="15" hidden="false" customHeight="false" outlineLevel="0" collapsed="false">
      <c r="B22" s="17" t="s">
        <v>82</v>
      </c>
      <c r="C22" s="24" t="n">
        <f aca="false">ROUND(C21*$C$11,2)</f>
        <v>35.91</v>
      </c>
      <c r="D22" s="24" t="n">
        <f aca="false">ROUND(D21*$C$11,2)</f>
        <v>26.46</v>
      </c>
    </row>
    <row r="23" customFormat="false" ht="15" hidden="false" customHeight="false" outlineLevel="0" collapsed="false">
      <c r="B23" s="26" t="s">
        <v>83</v>
      </c>
      <c r="C23" s="27" t="n">
        <f aca="false">C21-C22</f>
        <v>344.09</v>
      </c>
      <c r="D23" s="27" t="n">
        <f aca="false">D21-D22</f>
        <v>253.54</v>
      </c>
    </row>
    <row r="24" customFormat="false" ht="15" hidden="false" customHeight="false" outlineLevel="0" collapsed="false">
      <c r="B24" s="17" t="s">
        <v>84</v>
      </c>
      <c r="C24" s="28" t="n">
        <f aca="false">ROUND(C19*C16*$C$10,2)</f>
        <v>165</v>
      </c>
      <c r="D24" s="28" t="n">
        <f aca="false">ROUND(D19*D16*$C$10,2)</f>
        <v>240</v>
      </c>
    </row>
    <row r="25" customFormat="false" ht="15" hidden="false" customHeight="false" outlineLevel="0" collapsed="false">
      <c r="B25" s="26" t="s">
        <v>85</v>
      </c>
      <c r="C25" s="27" t="n">
        <f aca="false">C23+C24</f>
        <v>509.09</v>
      </c>
      <c r="D25" s="27" t="n">
        <f aca="false">D23+D24</f>
        <v>493.54</v>
      </c>
    </row>
    <row r="26" customFormat="false" ht="15" hidden="false" customHeight="false" outlineLevel="0" collapsed="false">
      <c r="B26" s="17" t="s">
        <v>86</v>
      </c>
      <c r="C26" s="24" t="n">
        <f aca="false">ROUND(C21*$C$12,2)</f>
        <v>46.17</v>
      </c>
      <c r="D26" s="24" t="n">
        <f aca="false">ROUND(D21*$C$12,2)</f>
        <v>34.02</v>
      </c>
    </row>
    <row r="28" customFormat="false" ht="15" hidden="false" customHeight="false" outlineLevel="0" collapsed="false">
      <c r="B28" s="21" t="s">
        <v>87</v>
      </c>
    </row>
    <row r="29" customFormat="false" ht="15" hidden="false" customHeight="false" outlineLevel="0" collapsed="false">
      <c r="B29" s="29" t="s">
        <v>88</v>
      </c>
      <c r="C29" s="0" t="n">
        <f aca="false">C19+D19</f>
        <v>27</v>
      </c>
      <c r="D29" s="30" t="n">
        <f aca="false">C24+D24</f>
        <v>405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6" min="3" style="0" width="13"/>
    <col collapsed="false" customWidth="true" hidden="false" outlineLevel="0" max="7" min="7" style="0" width="14"/>
  </cols>
  <sheetData>
    <row r="2" customFormat="false" ht="17.35" hidden="false" customHeight="false" outlineLevel="0" collapsed="false">
      <c r="B2" s="7" t="s">
        <v>89</v>
      </c>
      <c r="C2" s="7"/>
      <c r="D2" s="7"/>
      <c r="E2" s="7"/>
      <c r="F2" s="7"/>
      <c r="G2" s="7"/>
    </row>
    <row r="4" customFormat="false" ht="15" hidden="false" customHeight="false" outlineLevel="0" collapsed="false">
      <c r="B4" s="16" t="s">
        <v>65</v>
      </c>
    </row>
    <row r="5" customFormat="false" ht="15" hidden="false" customHeight="false" outlineLevel="0" collapsed="false">
      <c r="B5" s="17" t="s">
        <v>90</v>
      </c>
      <c r="C5" s="18" t="s">
        <v>91</v>
      </c>
    </row>
    <row r="6" customFormat="false" ht="15" hidden="false" customHeight="false" outlineLevel="0" collapsed="false">
      <c r="B6" s="17" t="s">
        <v>68</v>
      </c>
      <c r="C6" s="19" t="n">
        <v>800</v>
      </c>
    </row>
    <row r="7" customFormat="false" ht="15" hidden="false" customHeight="false" outlineLevel="0" collapsed="false">
      <c r="B7" s="17" t="s">
        <v>92</v>
      </c>
      <c r="C7" s="20" t="n">
        <v>46226</v>
      </c>
    </row>
    <row r="8" customFormat="false" ht="15" hidden="false" customHeight="false" outlineLevel="0" collapsed="false">
      <c r="B8" s="17" t="s">
        <v>93</v>
      </c>
      <c r="C8" s="18" t="n">
        <v>84</v>
      </c>
      <c r="D8" s="21" t="s">
        <v>94</v>
      </c>
    </row>
    <row r="9" customFormat="false" ht="15" hidden="false" customHeight="false" outlineLevel="0" collapsed="false">
      <c r="B9" s="17" t="s">
        <v>95</v>
      </c>
      <c r="C9" s="22" t="n">
        <v>0.25</v>
      </c>
    </row>
    <row r="10" customFormat="false" ht="15" hidden="false" customHeight="false" outlineLevel="0" collapsed="false">
      <c r="B10" s="17" t="s">
        <v>33</v>
      </c>
      <c r="C10" s="22" t="n">
        <v>0.75</v>
      </c>
    </row>
    <row r="11" customFormat="false" ht="15" hidden="false" customHeight="false" outlineLevel="0" collapsed="false">
      <c r="B11" s="17" t="s">
        <v>39</v>
      </c>
      <c r="C11" s="22" t="n">
        <v>0.0945</v>
      </c>
    </row>
    <row r="12" customFormat="false" ht="15" hidden="false" customHeight="false" outlineLevel="0" collapsed="false">
      <c r="B12" s="17" t="s">
        <v>55</v>
      </c>
      <c r="C12" s="22" t="n">
        <v>0.1215</v>
      </c>
    </row>
    <row r="14" customFormat="false" ht="15" hidden="false" customHeight="false" outlineLevel="0" collapsed="false">
      <c r="B14" s="16" t="s">
        <v>96</v>
      </c>
    </row>
    <row r="15" customFormat="false" ht="15" hidden="false" customHeight="false" outlineLevel="0" collapsed="false">
      <c r="C15" s="23" t="s">
        <v>97</v>
      </c>
      <c r="D15" s="23" t="s">
        <v>98</v>
      </c>
      <c r="E15" s="23" t="s">
        <v>99</v>
      </c>
      <c r="F15" s="23" t="s">
        <v>100</v>
      </c>
      <c r="G15" s="23" t="s">
        <v>101</v>
      </c>
    </row>
    <row r="16" customFormat="false" ht="15" hidden="false" customHeight="false" outlineLevel="0" collapsed="false">
      <c r="B16" s="17" t="s">
        <v>43</v>
      </c>
      <c r="C16" s="24" t="n">
        <f aca="false">$C$6/30</f>
        <v>26.6666666666667</v>
      </c>
      <c r="D16" s="24" t="n">
        <f aca="false">$C$6/30</f>
        <v>26.6666666666667</v>
      </c>
      <c r="E16" s="24" t="n">
        <f aca="false">$C$6/30</f>
        <v>26.6666666666667</v>
      </c>
      <c r="F16" s="24" t="n">
        <f aca="false">$C$6/30</f>
        <v>26.6666666666667</v>
      </c>
    </row>
    <row r="17" customFormat="false" ht="15" hidden="false" customHeight="false" outlineLevel="0" collapsed="false">
      <c r="B17" s="17" t="s">
        <v>102</v>
      </c>
      <c r="C17" s="25" t="n">
        <f aca="false">MIN($C$8,30-DAY($C$7)+1)</f>
        <v>8</v>
      </c>
      <c r="D17" s="25" t="n">
        <f aca="false">MAX(0,MIN(30,$C$8-C17))</f>
        <v>30</v>
      </c>
      <c r="E17" s="25" t="n">
        <f aca="false">MAX(0,MIN(30,$C$8-C17-D17))</f>
        <v>30</v>
      </c>
      <c r="F17" s="25" t="n">
        <f aca="false">MAX(0,MIN(30,$C$8-C17-D17-E17))</f>
        <v>16</v>
      </c>
      <c r="G17" s="25" t="n">
        <f aca="false">SUM(C17:F17)</f>
        <v>84</v>
      </c>
    </row>
    <row r="18" customFormat="false" ht="15" hidden="false" customHeight="false" outlineLevel="0" collapsed="false">
      <c r="B18" s="17" t="s">
        <v>103</v>
      </c>
      <c r="C18" s="25" t="n">
        <f aca="false">30-C17</f>
        <v>22</v>
      </c>
      <c r="D18" s="25" t="n">
        <f aca="false">30-D17</f>
        <v>0</v>
      </c>
      <c r="E18" s="25" t="n">
        <f aca="false">30-E17</f>
        <v>0</v>
      </c>
      <c r="F18" s="25" t="n">
        <f aca="false">30-F17</f>
        <v>14</v>
      </c>
      <c r="G18" s="25" t="n">
        <f aca="false">SUM(C18:F18)</f>
        <v>36</v>
      </c>
    </row>
    <row r="19" customFormat="false" ht="15" hidden="false" customHeight="false" outlineLevel="0" collapsed="false">
      <c r="B19" s="17" t="s">
        <v>104</v>
      </c>
      <c r="C19" s="24" t="n">
        <f aca="false">ROUND(C18*C16,2)</f>
        <v>586.67</v>
      </c>
      <c r="D19" s="24" t="n">
        <f aca="false">ROUND(D18*D16,2)</f>
        <v>0</v>
      </c>
      <c r="E19" s="24" t="n">
        <f aca="false">ROUND(E18*E16,2)</f>
        <v>0</v>
      </c>
      <c r="F19" s="24" t="n">
        <f aca="false">ROUND(F18*F16,2)</f>
        <v>373.33</v>
      </c>
      <c r="G19" s="24" t="n">
        <f aca="false">SUM(C19:F19)</f>
        <v>960</v>
      </c>
    </row>
    <row r="20" customFormat="false" ht="15" hidden="false" customHeight="false" outlineLevel="0" collapsed="false">
      <c r="B20" s="17" t="s">
        <v>105</v>
      </c>
      <c r="C20" s="24" t="n">
        <f aca="false">ROUND(C17*C16*$C$9,2)</f>
        <v>53.33</v>
      </c>
      <c r="D20" s="24" t="n">
        <f aca="false">ROUND(D17*D16*$C$9,2)</f>
        <v>200</v>
      </c>
      <c r="E20" s="24" t="n">
        <f aca="false">ROUND(E17*E16*$C$9,2)</f>
        <v>200</v>
      </c>
      <c r="F20" s="24" t="n">
        <f aca="false">ROUND(F17*F16*$C$9,2)</f>
        <v>106.67</v>
      </c>
      <c r="G20" s="24" t="n">
        <f aca="false">SUM(C20:F20)</f>
        <v>560</v>
      </c>
    </row>
    <row r="21" customFormat="false" ht="15" hidden="false" customHeight="false" outlineLevel="0" collapsed="false">
      <c r="B21" s="26" t="s">
        <v>46</v>
      </c>
      <c r="C21" s="27" t="n">
        <f aca="false">C19+C20</f>
        <v>640</v>
      </c>
      <c r="D21" s="27" t="n">
        <f aca="false">D19+D20</f>
        <v>200</v>
      </c>
      <c r="E21" s="27" t="n">
        <f aca="false">E19+E20</f>
        <v>200</v>
      </c>
      <c r="F21" s="27" t="n">
        <f aca="false">F19+F20</f>
        <v>480</v>
      </c>
      <c r="G21" s="27" t="n">
        <f aca="false">SUM(C21:F21)</f>
        <v>1520</v>
      </c>
    </row>
    <row r="22" customFormat="false" ht="15" hidden="false" customHeight="false" outlineLevel="0" collapsed="false">
      <c r="B22" s="17" t="s">
        <v>106</v>
      </c>
      <c r="C22" s="24" t="n">
        <f aca="false">ROUND(C19*$C$11,2)</f>
        <v>55.44</v>
      </c>
      <c r="D22" s="24" t="n">
        <f aca="false">ROUND(D19*$C$11,2)</f>
        <v>0</v>
      </c>
      <c r="E22" s="24" t="n">
        <f aca="false">ROUND(E19*$C$11,2)</f>
        <v>0</v>
      </c>
      <c r="F22" s="24" t="n">
        <f aca="false">ROUND(F19*$C$11,2)</f>
        <v>35.28</v>
      </c>
      <c r="G22" s="24" t="n">
        <f aca="false">SUM(C22:F22)</f>
        <v>90.72</v>
      </c>
    </row>
    <row r="23" customFormat="false" ht="15" hidden="false" customHeight="false" outlineLevel="0" collapsed="false">
      <c r="B23" s="26" t="s">
        <v>83</v>
      </c>
      <c r="C23" s="27" t="n">
        <f aca="false">C21-C22</f>
        <v>584.56</v>
      </c>
      <c r="D23" s="27" t="n">
        <f aca="false">D21-D22</f>
        <v>200</v>
      </c>
      <c r="E23" s="27" t="n">
        <f aca="false">E21-E22</f>
        <v>200</v>
      </c>
      <c r="F23" s="27" t="n">
        <f aca="false">F21-F22</f>
        <v>444.72</v>
      </c>
      <c r="G23" s="27" t="n">
        <f aca="false">SUM(C23:F23)</f>
        <v>1429.28</v>
      </c>
    </row>
    <row r="24" customFormat="false" ht="15" hidden="false" customHeight="false" outlineLevel="0" collapsed="false">
      <c r="B24" s="17" t="s">
        <v>107</v>
      </c>
      <c r="C24" s="28" t="n">
        <f aca="false">ROUND(C17*C16*$C$10,2)</f>
        <v>160</v>
      </c>
      <c r="D24" s="28" t="n">
        <f aca="false">ROUND(D17*D16*$C$10,2)</f>
        <v>600</v>
      </c>
      <c r="E24" s="28" t="n">
        <f aca="false">ROUND(E17*E16*$C$10,2)</f>
        <v>600</v>
      </c>
      <c r="F24" s="28" t="n">
        <f aca="false">ROUND(F17*F16*$C$10,2)</f>
        <v>320</v>
      </c>
      <c r="G24" s="24" t="n">
        <f aca="false">SUM(C24:F24)</f>
        <v>1680</v>
      </c>
    </row>
    <row r="25" customFormat="false" ht="15" hidden="false" customHeight="false" outlineLevel="0" collapsed="false">
      <c r="B25" s="26" t="s">
        <v>108</v>
      </c>
      <c r="C25" s="27" t="n">
        <f aca="false">C23+C24</f>
        <v>744.56</v>
      </c>
      <c r="D25" s="27" t="n">
        <f aca="false">D23+D24</f>
        <v>800</v>
      </c>
      <c r="E25" s="27" t="n">
        <f aca="false">E23+E24</f>
        <v>800</v>
      </c>
      <c r="F25" s="27" t="n">
        <f aca="false">F23+F24</f>
        <v>764.72</v>
      </c>
      <c r="G25" s="27" t="n">
        <f aca="false">SUM(C25:F25)</f>
        <v>3109.28</v>
      </c>
    </row>
    <row r="26" customFormat="false" ht="15" hidden="false" customHeight="false" outlineLevel="0" collapsed="false">
      <c r="B26" s="17" t="s">
        <v>109</v>
      </c>
      <c r="C26" s="24" t="n">
        <f aca="false">ROUND(C17*C16*$C$11,2)</f>
        <v>20.16</v>
      </c>
      <c r="D26" s="24" t="n">
        <f aca="false">ROUND(D17*D16*$C$11,2)</f>
        <v>75.6</v>
      </c>
      <c r="E26" s="24" t="n">
        <f aca="false">ROUND(E17*E16*$C$11,2)</f>
        <v>75.6</v>
      </c>
      <c r="F26" s="24" t="n">
        <f aca="false">ROUND(F17*F16*$C$11,2)</f>
        <v>40.32</v>
      </c>
      <c r="G26" s="24" t="n">
        <f aca="false">SUM(C26:F26)</f>
        <v>211.68</v>
      </c>
    </row>
    <row r="27" customFormat="false" ht="15" hidden="false" customHeight="false" outlineLevel="0" collapsed="false">
      <c r="B27" s="17" t="s">
        <v>110</v>
      </c>
      <c r="C27" s="24" t="n">
        <f aca="false">ROUND((C18*C16+C17*C16)*$C$12,2)</f>
        <v>97.2</v>
      </c>
      <c r="D27" s="24" t="n">
        <f aca="false">ROUND((D18*D16+D17*D16)*$C$12,2)</f>
        <v>97.2</v>
      </c>
      <c r="E27" s="24" t="n">
        <f aca="false">ROUND((E18*E16+E17*E16)*$C$12,2)</f>
        <v>97.2</v>
      </c>
      <c r="F27" s="24" t="n">
        <f aca="false">ROUND((F18*F16+F17*F16)*$C$12,2)</f>
        <v>97.2</v>
      </c>
      <c r="G27" s="24" t="n">
        <f aca="false">SUM(C27:F27)</f>
        <v>388.8</v>
      </c>
    </row>
    <row r="29" customFormat="false" ht="15" hidden="false" customHeight="false" outlineLevel="0" collapsed="false">
      <c r="B29" s="21" t="s">
        <v>111</v>
      </c>
    </row>
    <row r="30" customFormat="false" ht="15" hidden="false" customHeight="false" outlineLevel="0" collapsed="false">
      <c r="B30" s="21" t="s">
        <v>112</v>
      </c>
    </row>
  </sheetData>
  <mergeCells count="1">
    <mergeCell ref="B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2026-07-29T21:36:18Z</dcterms:created>
  <dc:creator>openpyxl</dc:creator>
  <dc:description/>
  <dc:language>en-US</dc:language>
  <cp:lastModifiedBy/>
  <dcterms:modified xsi:type="dcterms:W3CDTF">2026-07-29T22:02:26Z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